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aa-purchasing-tammy &amp; nancy\Bids\ReBid #21-001 SCADA Material\"/>
    </mc:Choice>
  </mc:AlternateContent>
  <bookViews>
    <workbookView xWindow="0" yWindow="0" windowWidth="28800" windowHeight="11856"/>
  </bookViews>
  <sheets>
    <sheet name="Sheet1" sheetId="1" r:id="rId1"/>
  </sheets>
  <definedNames>
    <definedName name="_xlnm.Print_Titles" localSheetId="0">Sheet1!$A:$C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O36" i="1"/>
  <c r="N34" i="1"/>
  <c r="N33" i="1"/>
  <c r="N32" i="1"/>
  <c r="N29" i="1"/>
  <c r="N28" i="1"/>
  <c r="N27" i="1"/>
  <c r="N25" i="1"/>
  <c r="O25" i="1" s="1"/>
  <c r="N23" i="1"/>
  <c r="O23" i="1" s="1"/>
  <c r="N21" i="1"/>
  <c r="N20" i="1"/>
  <c r="O20" i="1" s="1"/>
  <c r="N19" i="1"/>
  <c r="N18" i="1"/>
  <c r="N17" i="1"/>
  <c r="N16" i="1"/>
  <c r="O16" i="1" s="1"/>
  <c r="N15" i="1"/>
  <c r="O15" i="1" s="1"/>
  <c r="N14" i="1"/>
  <c r="O14" i="1" s="1"/>
  <c r="N13" i="1"/>
  <c r="N12" i="1"/>
  <c r="O12" i="1" s="1"/>
  <c r="N11" i="1"/>
  <c r="N10" i="1"/>
  <c r="O10" i="1" s="1"/>
  <c r="N8" i="1"/>
  <c r="K34" i="1"/>
  <c r="K33" i="1"/>
  <c r="K32" i="1"/>
  <c r="K29" i="1"/>
  <c r="K28" i="1"/>
  <c r="K27" i="1"/>
  <c r="K25" i="1"/>
  <c r="K23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  <c r="R30" i="1"/>
  <c r="O30" i="1"/>
  <c r="O34" i="1"/>
  <c r="O33" i="1"/>
  <c r="O32" i="1"/>
  <c r="O31" i="1"/>
  <c r="O29" i="1"/>
  <c r="O28" i="1"/>
  <c r="O27" i="1"/>
  <c r="O26" i="1"/>
  <c r="O24" i="1"/>
  <c r="O22" i="1"/>
  <c r="O21" i="1"/>
  <c r="O19" i="1"/>
  <c r="O18" i="1"/>
  <c r="O17" i="1"/>
  <c r="O13" i="1"/>
  <c r="O11" i="1"/>
  <c r="O9" i="1"/>
  <c r="O8" i="1"/>
  <c r="O7" i="1"/>
  <c r="O6" i="1"/>
  <c r="R34" i="1"/>
  <c r="R33" i="1"/>
  <c r="R32" i="1"/>
  <c r="R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36" i="1" l="1"/>
  <c r="L30" i="1" l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I30" i="1"/>
  <c r="I34" i="1"/>
  <c r="I33" i="1"/>
  <c r="I32" i="1"/>
  <c r="I31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F30" i="1"/>
  <c r="F34" i="1"/>
  <c r="F33" i="1"/>
  <c r="F32" i="1"/>
  <c r="F31" i="1"/>
  <c r="F29" i="1"/>
  <c r="F28" i="1"/>
  <c r="F27" i="1"/>
  <c r="F26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L36" i="1" l="1"/>
  <c r="F36" i="1"/>
  <c r="I36" i="1"/>
</calcChain>
</file>

<file path=xl/sharedStrings.xml><?xml version="1.0" encoding="utf-8"?>
<sst xmlns="http://schemas.openxmlformats.org/spreadsheetml/2006/main" count="105" uniqueCount="79">
  <si>
    <t>QTY</t>
  </si>
  <si>
    <t>Description</t>
  </si>
  <si>
    <t>ControlLogix Chassis 4 Slot</t>
  </si>
  <si>
    <t>ControlLogix Chassis 7 Slot</t>
  </si>
  <si>
    <t>ControlLogix Chassis 10 Slot</t>
  </si>
  <si>
    <t>ControlLogix Chassis 13 Slot</t>
  </si>
  <si>
    <t>ControlLogix Power Supply</t>
  </si>
  <si>
    <t>ControlLogix Ethernet Module</t>
  </si>
  <si>
    <t>ControlLogix Processor</t>
  </si>
  <si>
    <t>1 GB SD Memory Card for PLC</t>
  </si>
  <si>
    <t>ControlLogix Analog Input Module</t>
  </si>
  <si>
    <t>ControlLogix Analog Output Module</t>
  </si>
  <si>
    <t>ControlLogix Discrete Input Module</t>
  </si>
  <si>
    <t>ControlLogix Discrete Output Module</t>
  </si>
  <si>
    <t>ControlLogix Removable Terminal Blocks for IO Modules</t>
  </si>
  <si>
    <t>ControlLogix Filler Module</t>
  </si>
  <si>
    <t>Communication Module</t>
  </si>
  <si>
    <t>714FX6 Managed Industrial Ethernet Switch, 8 Copper, 6 Fiber</t>
  </si>
  <si>
    <t>305FX Unmanaged Ethernet Switch, 4 copper ports, 1 Fiber port</t>
  </si>
  <si>
    <t>Mini Wall Mount Patch Panel, Black</t>
  </si>
  <si>
    <t>SC Duplex 6 Pack Plate, Black, MM Adapters</t>
  </si>
  <si>
    <t>Duplex 3mm MM 62.5/125, OM1, SC/PC to SC/PC, 3 Meter Patch Cable</t>
  </si>
  <si>
    <t>6 Strand Fiber, PVC, 62.5/125 Standard, OM1, Black Fiber Optic Cable</t>
  </si>
  <si>
    <t>SC Simplex Fiber Optic Adapter Module w/ ceramic split sleeve, black</t>
  </si>
  <si>
    <t>Multimedia Outlet System Surface Mount Box</t>
  </si>
  <si>
    <t>Duplex SC Fiber Adapter MOS Modules</t>
  </si>
  <si>
    <t>F1105818BLK</t>
  </si>
  <si>
    <t>F1SC6DBKMUL</t>
  </si>
  <si>
    <t>D2YYM3FISC</t>
  </si>
  <si>
    <t>DX006DWLS9KR</t>
  </si>
  <si>
    <t>FDME8RG</t>
  </si>
  <si>
    <t>CMSBUSCZBL</t>
  </si>
  <si>
    <t>Model No.</t>
  </si>
  <si>
    <t>Total Bid for all Items</t>
  </si>
  <si>
    <t>1756-A4</t>
  </si>
  <si>
    <t>1756-A7</t>
  </si>
  <si>
    <t>1756-A10</t>
  </si>
  <si>
    <t>1756-A13</t>
  </si>
  <si>
    <t>1756-PA75</t>
  </si>
  <si>
    <t>1756-EN2T</t>
  </si>
  <si>
    <t>1756-L72</t>
  </si>
  <si>
    <t>1784-SD1</t>
  </si>
  <si>
    <t>1756-IF8I</t>
  </si>
  <si>
    <t>1756-OF8I</t>
  </si>
  <si>
    <t>1756-IA16</t>
  </si>
  <si>
    <t>1756-OX8I</t>
  </si>
  <si>
    <t>1756-OW16I</t>
  </si>
  <si>
    <t>1756-TBCH</t>
  </si>
  <si>
    <t>1756-TBNH</t>
  </si>
  <si>
    <t>1756-N2</t>
  </si>
  <si>
    <t>714FX6-SC</t>
  </si>
  <si>
    <t>305FX-SC</t>
  </si>
  <si>
    <t>AX105205-B25</t>
  </si>
  <si>
    <t>8-port Din Rail Mount Fiber Optic Enclosure</t>
  </si>
  <si>
    <t>41296-MMG</t>
  </si>
  <si>
    <t>41291-2CG</t>
  </si>
  <si>
    <t>Fiber Optic &amp; Electrical SCADA supplies</t>
  </si>
  <si>
    <t>Bid Signed</t>
  </si>
  <si>
    <t>Non Collusion</t>
  </si>
  <si>
    <t>Affidavit of Compliance</t>
  </si>
  <si>
    <t>Attestation of Taxes</t>
  </si>
  <si>
    <t>1800 ft roll</t>
  </si>
  <si>
    <t>SC connectors with 900um Boot (pks of 25)</t>
  </si>
  <si>
    <t>Re Bid #21-001</t>
  </si>
  <si>
    <t>Studio 5000 Professional Edition perpetual w/ESD 8x5 maintenance</t>
  </si>
  <si>
    <t>9324M-RLDT31</t>
  </si>
  <si>
    <t>MVI56E-GSC</t>
  </si>
  <si>
    <t>Industrial Technical Services</t>
  </si>
  <si>
    <t>Aaron Associates</t>
  </si>
  <si>
    <t>Horizon Solutions</t>
  </si>
  <si>
    <t>Gruber</t>
  </si>
  <si>
    <t>Elm Electric</t>
  </si>
  <si>
    <t>Addendum 1 and 2</t>
  </si>
  <si>
    <t>yes</t>
  </si>
  <si>
    <t>shipping</t>
  </si>
  <si>
    <t>**</t>
  </si>
  <si>
    <t>incomplete</t>
  </si>
  <si>
    <t>no bid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</si>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</sst>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2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4" fontId="1" fillId="0" borderId="0" xfId="1" applyFont="1"/>
    <xf numFmtId="44" fontId="1" fillId="0" borderId="3" xfId="1" applyFont="1" applyBorder="1"/>
    <xf numFmtId="44" fontId="1" fillId="0" borderId="2" xfId="1" applyFont="1" applyBorder="1" applyAlignment="1">
      <alignment horizontal="center"/>
    </xf>
    <xf numFmtId="44" fontId="1" fillId="0" borderId="0" xfId="1" applyFont="1" applyBorder="1"/>
    <xf numFmtId="44" fontId="1" fillId="0" borderId="0" xfId="1" applyFont="1" applyBorder="1" applyAlignment="1">
      <alignment horizontal="center"/>
    </xf>
    <xf numFmtId="44" fontId="1" fillId="2" borderId="3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workbookViewId="0">
      <selection activeCell="L36" sqref="L36"/>
    </sheetView>
  </sheetViews>
  <sheetFormatPr defaultColWidth="8.88671875" defaultRowHeight="13.8" x14ac:dyDescent="0.3"/>
  <cols>
    <col min="1" max="1" width="6.6640625" style="1" bestFit="1" customWidth="1"/>
    <col min="2" max="2" width="33.6640625" style="7" customWidth="1"/>
    <col min="3" max="3" width="17.33203125" style="1" bestFit="1" customWidth="1"/>
    <col min="4" max="4" width="4.33203125" style="1" customWidth="1"/>
    <col min="5" max="6" width="15.6640625" style="11" customWidth="1"/>
    <col min="7" max="7" width="3.5546875" style="14" customWidth="1"/>
    <col min="8" max="9" width="15.6640625" style="11" customWidth="1"/>
    <col min="10" max="10" width="2.88671875" style="14" customWidth="1"/>
    <col min="11" max="11" width="12" style="11" customWidth="1"/>
    <col min="12" max="12" width="18.6640625" style="11" customWidth="1"/>
    <col min="13" max="13" width="2.44140625" style="11" customWidth="1"/>
    <col min="14" max="14" width="14.44140625" style="11" customWidth="1"/>
    <col min="15" max="15" width="18.5546875" style="11" customWidth="1"/>
    <col min="16" max="16" width="1.77734375" style="11" customWidth="1"/>
    <col min="17" max="17" width="10.44140625" style="11" customWidth="1"/>
    <col min="18" max="18" width="18.5546875" style="11" customWidth="1"/>
    <col min="19" max="19" width="8.88671875" style="11"/>
    <col min="20" max="16384" width="8.88671875" style="1"/>
  </cols>
  <sheetData>
    <row r="1" spans="1:18" x14ac:dyDescent="0.3">
      <c r="B1" s="7" t="s">
        <v>56</v>
      </c>
    </row>
    <row r="2" spans="1:18" x14ac:dyDescent="0.3">
      <c r="B2" s="7" t="s">
        <v>63</v>
      </c>
    </row>
    <row r="3" spans="1:18" x14ac:dyDescent="0.3">
      <c r="E3" s="12" t="s">
        <v>70</v>
      </c>
      <c r="F3" s="12"/>
      <c r="H3" s="12" t="s">
        <v>69</v>
      </c>
      <c r="I3" s="12"/>
      <c r="K3" s="12" t="s">
        <v>68</v>
      </c>
      <c r="L3" s="12"/>
      <c r="N3" s="12" t="s">
        <v>67</v>
      </c>
      <c r="O3" s="12"/>
      <c r="Q3" s="12" t="s">
        <v>71</v>
      </c>
      <c r="R3" s="12"/>
    </row>
    <row r="5" spans="1:18" ht="14.4" thickBot="1" x14ac:dyDescent="0.35">
      <c r="A5" s="3" t="s">
        <v>0</v>
      </c>
      <c r="B5" s="8" t="s">
        <v>1</v>
      </c>
      <c r="C5" s="2" t="s">
        <v>32</v>
      </c>
      <c r="E5" s="13"/>
      <c r="F5" s="13"/>
      <c r="G5" s="15"/>
      <c r="H5" s="13"/>
      <c r="I5" s="13"/>
      <c r="J5" s="15"/>
      <c r="K5" s="13"/>
      <c r="L5" s="13"/>
      <c r="N5" s="13"/>
      <c r="O5" s="13"/>
      <c r="Q5" s="13"/>
      <c r="R5" s="13"/>
    </row>
    <row r="6" spans="1:18" x14ac:dyDescent="0.3">
      <c r="A6" s="4">
        <v>1</v>
      </c>
      <c r="B6" s="9" t="s">
        <v>2</v>
      </c>
      <c r="C6" s="5" t="s">
        <v>34</v>
      </c>
      <c r="E6" s="12">
        <v>523.09</v>
      </c>
      <c r="F6" s="12">
        <f>E6*A6</f>
        <v>523.09</v>
      </c>
      <c r="H6" s="12">
        <v>310.5</v>
      </c>
      <c r="I6" s="12">
        <f>H6*A6</f>
        <v>310.5</v>
      </c>
      <c r="K6" s="12">
        <v>265</v>
      </c>
      <c r="L6" s="12">
        <f>K6*A6</f>
        <v>265</v>
      </c>
      <c r="N6" s="12">
        <v>404</v>
      </c>
      <c r="O6" s="12">
        <f>N6*A6</f>
        <v>404</v>
      </c>
      <c r="Q6" s="12">
        <v>314</v>
      </c>
      <c r="R6" s="12">
        <f>Q6*A6</f>
        <v>314</v>
      </c>
    </row>
    <row r="7" spans="1:18" x14ac:dyDescent="0.3">
      <c r="A7" s="4">
        <v>1</v>
      </c>
      <c r="B7" s="10" t="s">
        <v>3</v>
      </c>
      <c r="C7" s="6" t="s">
        <v>35</v>
      </c>
      <c r="E7" s="12">
        <v>801.08</v>
      </c>
      <c r="F7" s="12">
        <f t="shared" ref="F7:F34" si="0">E7*A7</f>
        <v>801.08</v>
      </c>
      <c r="H7" s="12">
        <v>475.5</v>
      </c>
      <c r="I7" s="12">
        <f t="shared" ref="I7:I34" si="1">H7*A7</f>
        <v>475.5</v>
      </c>
      <c r="K7" s="12">
        <v>405</v>
      </c>
      <c r="L7" s="12">
        <f t="shared" ref="L7:L34" si="2">K7*A7</f>
        <v>405</v>
      </c>
      <c r="N7" s="12">
        <v>618</v>
      </c>
      <c r="O7" s="12">
        <f t="shared" ref="O7:O34" si="3">N7*A7</f>
        <v>618</v>
      </c>
      <c r="Q7" s="12">
        <v>481</v>
      </c>
      <c r="R7" s="12">
        <f t="shared" ref="R7:R34" si="4">Q7*A7</f>
        <v>481</v>
      </c>
    </row>
    <row r="8" spans="1:18" x14ac:dyDescent="0.3">
      <c r="A8" s="4">
        <v>4</v>
      </c>
      <c r="B8" s="10" t="s">
        <v>4</v>
      </c>
      <c r="C8" s="6" t="s">
        <v>36</v>
      </c>
      <c r="E8" s="12">
        <v>975.44</v>
      </c>
      <c r="F8" s="12">
        <f t="shared" si="0"/>
        <v>3901.76</v>
      </c>
      <c r="H8" s="12">
        <v>579</v>
      </c>
      <c r="I8" s="12">
        <f t="shared" si="1"/>
        <v>2316</v>
      </c>
      <c r="K8" s="12">
        <f>1976/A8</f>
        <v>494</v>
      </c>
      <c r="L8" s="12">
        <f t="shared" si="2"/>
        <v>1976</v>
      </c>
      <c r="N8" s="12">
        <f>3011/A8</f>
        <v>752.75</v>
      </c>
      <c r="O8" s="12">
        <f t="shared" si="3"/>
        <v>3011</v>
      </c>
      <c r="Q8" s="12">
        <v>586</v>
      </c>
      <c r="R8" s="12">
        <f t="shared" si="4"/>
        <v>2344</v>
      </c>
    </row>
    <row r="9" spans="1:18" x14ac:dyDescent="0.3">
      <c r="A9" s="4">
        <v>1</v>
      </c>
      <c r="B9" s="10" t="s">
        <v>5</v>
      </c>
      <c r="C9" s="6" t="s">
        <v>37</v>
      </c>
      <c r="E9" s="12">
        <v>1172.55</v>
      </c>
      <c r="F9" s="12">
        <f t="shared" si="0"/>
        <v>1172.55</v>
      </c>
      <c r="H9" s="12">
        <v>696</v>
      </c>
      <c r="I9" s="12">
        <f t="shared" si="1"/>
        <v>696</v>
      </c>
      <c r="K9" s="12">
        <v>594</v>
      </c>
      <c r="L9" s="12">
        <f t="shared" si="2"/>
        <v>594</v>
      </c>
      <c r="N9" s="12">
        <v>905</v>
      </c>
      <c r="O9" s="12">
        <f t="shared" si="3"/>
        <v>905</v>
      </c>
      <c r="Q9" s="12">
        <v>704</v>
      </c>
      <c r="R9" s="12">
        <f t="shared" si="4"/>
        <v>704</v>
      </c>
    </row>
    <row r="10" spans="1:18" x14ac:dyDescent="0.3">
      <c r="A10" s="4">
        <v>8</v>
      </c>
      <c r="B10" s="10" t="s">
        <v>6</v>
      </c>
      <c r="C10" s="6" t="s">
        <v>38</v>
      </c>
      <c r="E10" s="12">
        <v>1756.28</v>
      </c>
      <c r="F10" s="12">
        <f t="shared" si="0"/>
        <v>14050.24</v>
      </c>
      <c r="H10" s="12">
        <v>1042.5</v>
      </c>
      <c r="I10" s="12">
        <f t="shared" si="1"/>
        <v>8340</v>
      </c>
      <c r="K10" s="12">
        <f>6854/A10</f>
        <v>856.75</v>
      </c>
      <c r="L10" s="12">
        <f t="shared" si="2"/>
        <v>6854</v>
      </c>
      <c r="N10" s="12">
        <f>10842/A10</f>
        <v>1355.25</v>
      </c>
      <c r="O10" s="12">
        <f t="shared" si="3"/>
        <v>10842</v>
      </c>
      <c r="Q10" s="12">
        <v>1055</v>
      </c>
      <c r="R10" s="12">
        <f t="shared" si="4"/>
        <v>8440</v>
      </c>
    </row>
    <row r="11" spans="1:18" x14ac:dyDescent="0.3">
      <c r="A11" s="4">
        <v>8</v>
      </c>
      <c r="B11" s="10" t="s">
        <v>7</v>
      </c>
      <c r="C11" s="6" t="s">
        <v>39</v>
      </c>
      <c r="E11" s="12">
        <v>4169.59</v>
      </c>
      <c r="F11" s="12">
        <f t="shared" si="0"/>
        <v>33356.720000000001</v>
      </c>
      <c r="H11" s="12">
        <v>2475</v>
      </c>
      <c r="I11" s="12">
        <f t="shared" si="1"/>
        <v>19800</v>
      </c>
      <c r="K11" s="12">
        <f>18153/A11</f>
        <v>2269.125</v>
      </c>
      <c r="L11" s="12">
        <f t="shared" si="2"/>
        <v>18153</v>
      </c>
      <c r="N11" s="12">
        <f>25740/A11</f>
        <v>3217.5</v>
      </c>
      <c r="O11" s="12">
        <f t="shared" si="3"/>
        <v>25740</v>
      </c>
      <c r="Q11" s="12">
        <v>2499</v>
      </c>
      <c r="R11" s="12">
        <f t="shared" si="4"/>
        <v>19992</v>
      </c>
    </row>
    <row r="12" spans="1:18" x14ac:dyDescent="0.3">
      <c r="A12" s="4">
        <v>2</v>
      </c>
      <c r="B12" s="10" t="s">
        <v>8</v>
      </c>
      <c r="C12" s="6" t="s">
        <v>40</v>
      </c>
      <c r="E12" s="12">
        <v>11586.42</v>
      </c>
      <c r="F12" s="12">
        <f t="shared" si="0"/>
        <v>23172.84</v>
      </c>
      <c r="H12" s="12">
        <v>6877.5</v>
      </c>
      <c r="I12" s="12">
        <f t="shared" si="1"/>
        <v>13755</v>
      </c>
      <c r="K12" s="12">
        <f>13032/A12</f>
        <v>6516</v>
      </c>
      <c r="L12" s="12">
        <f t="shared" si="2"/>
        <v>13032</v>
      </c>
      <c r="N12" s="12">
        <f>17882/A12</f>
        <v>8941</v>
      </c>
      <c r="O12" s="12">
        <f t="shared" si="3"/>
        <v>17882</v>
      </c>
      <c r="Q12" s="12">
        <v>6960</v>
      </c>
      <c r="R12" s="12">
        <f t="shared" si="4"/>
        <v>13920</v>
      </c>
    </row>
    <row r="13" spans="1:18" x14ac:dyDescent="0.3">
      <c r="A13" s="4">
        <v>2</v>
      </c>
      <c r="B13" s="10" t="s">
        <v>9</v>
      </c>
      <c r="C13" s="6" t="s">
        <v>41</v>
      </c>
      <c r="E13" s="12">
        <v>125.09</v>
      </c>
      <c r="F13" s="12">
        <f t="shared" si="0"/>
        <v>250.18</v>
      </c>
      <c r="H13" s="12">
        <v>74.25</v>
      </c>
      <c r="I13" s="12">
        <f t="shared" si="1"/>
        <v>148.5</v>
      </c>
      <c r="K13" s="12">
        <f>143/A13</f>
        <v>71.5</v>
      </c>
      <c r="L13" s="12">
        <f t="shared" si="2"/>
        <v>143</v>
      </c>
      <c r="N13" s="12">
        <f>193/A13</f>
        <v>96.5</v>
      </c>
      <c r="O13" s="12">
        <f t="shared" si="3"/>
        <v>193</v>
      </c>
      <c r="Q13" s="12">
        <v>75</v>
      </c>
      <c r="R13" s="12">
        <f t="shared" si="4"/>
        <v>150</v>
      </c>
    </row>
    <row r="14" spans="1:18" x14ac:dyDescent="0.3">
      <c r="A14" s="4">
        <v>12</v>
      </c>
      <c r="B14" s="10" t="s">
        <v>10</v>
      </c>
      <c r="C14" s="6" t="s">
        <v>42</v>
      </c>
      <c r="E14" s="12">
        <v>3449.4</v>
      </c>
      <c r="F14" s="12">
        <f t="shared" si="0"/>
        <v>41392.800000000003</v>
      </c>
      <c r="H14" s="12">
        <v>2047.5</v>
      </c>
      <c r="I14" s="12">
        <f t="shared" si="1"/>
        <v>24570</v>
      </c>
      <c r="K14" s="12">
        <f>20966/A14</f>
        <v>1747.1666666666667</v>
      </c>
      <c r="L14" s="12">
        <f t="shared" si="2"/>
        <v>20966</v>
      </c>
      <c r="N14" s="12">
        <f>31941/A14</f>
        <v>2661.75</v>
      </c>
      <c r="O14" s="12">
        <f t="shared" si="3"/>
        <v>31941</v>
      </c>
      <c r="Q14" s="12">
        <v>2072</v>
      </c>
      <c r="R14" s="12">
        <f t="shared" si="4"/>
        <v>24864</v>
      </c>
    </row>
    <row r="15" spans="1:18" x14ac:dyDescent="0.3">
      <c r="A15" s="4">
        <v>11</v>
      </c>
      <c r="B15" s="10" t="s">
        <v>11</v>
      </c>
      <c r="C15" s="6" t="s">
        <v>43</v>
      </c>
      <c r="E15" s="12">
        <v>4106.42</v>
      </c>
      <c r="F15" s="12">
        <f t="shared" si="0"/>
        <v>45170.62</v>
      </c>
      <c r="H15" s="12">
        <v>2437.5</v>
      </c>
      <c r="I15" s="12">
        <f t="shared" si="1"/>
        <v>26812.5</v>
      </c>
      <c r="K15" s="12">
        <f>22891/A15</f>
        <v>2081</v>
      </c>
      <c r="L15" s="12">
        <f t="shared" si="2"/>
        <v>22891</v>
      </c>
      <c r="N15" s="12">
        <f>34856/A15</f>
        <v>3168.7272727272725</v>
      </c>
      <c r="O15" s="12">
        <f t="shared" si="3"/>
        <v>34856</v>
      </c>
      <c r="Q15" s="12">
        <v>2467</v>
      </c>
      <c r="R15" s="12">
        <f t="shared" si="4"/>
        <v>27137</v>
      </c>
    </row>
    <row r="16" spans="1:18" x14ac:dyDescent="0.3">
      <c r="A16" s="4">
        <v>19</v>
      </c>
      <c r="B16" s="10" t="s">
        <v>12</v>
      </c>
      <c r="C16" s="6" t="s">
        <v>44</v>
      </c>
      <c r="E16" s="12">
        <v>109.42</v>
      </c>
      <c r="F16" s="12">
        <f t="shared" si="0"/>
        <v>2078.98</v>
      </c>
      <c r="H16" s="12">
        <v>432.75</v>
      </c>
      <c r="I16" s="12">
        <f t="shared" si="1"/>
        <v>8222.25</v>
      </c>
      <c r="K16" s="12">
        <f>7001/A16</f>
        <v>368.4736842105263</v>
      </c>
      <c r="L16" s="12">
        <f t="shared" si="2"/>
        <v>7001</v>
      </c>
      <c r="N16" s="12">
        <f>10689/A16</f>
        <v>562.57894736842104</v>
      </c>
      <c r="O16" s="12">
        <f t="shared" si="3"/>
        <v>10689</v>
      </c>
      <c r="Q16" s="12">
        <v>438</v>
      </c>
      <c r="R16" s="12">
        <f t="shared" si="4"/>
        <v>8322</v>
      </c>
    </row>
    <row r="17" spans="1:18" x14ac:dyDescent="0.3">
      <c r="A17" s="4">
        <v>6</v>
      </c>
      <c r="B17" s="10" t="s">
        <v>13</v>
      </c>
      <c r="C17" s="6" t="s">
        <v>45</v>
      </c>
      <c r="E17" s="12">
        <v>707.58</v>
      </c>
      <c r="F17" s="12">
        <f t="shared" si="0"/>
        <v>4245.4800000000005</v>
      </c>
      <c r="H17" s="12">
        <v>420</v>
      </c>
      <c r="I17" s="12">
        <f t="shared" si="1"/>
        <v>2520</v>
      </c>
      <c r="K17" s="12">
        <f>2144/A17</f>
        <v>357.33333333333331</v>
      </c>
      <c r="L17" s="12">
        <f t="shared" si="2"/>
        <v>2144</v>
      </c>
      <c r="N17" s="12">
        <f>3276/6</f>
        <v>546</v>
      </c>
      <c r="O17" s="12">
        <f t="shared" si="3"/>
        <v>3276</v>
      </c>
      <c r="Q17" s="12">
        <v>425</v>
      </c>
      <c r="R17" s="12">
        <f t="shared" si="4"/>
        <v>2550</v>
      </c>
    </row>
    <row r="18" spans="1:18" x14ac:dyDescent="0.3">
      <c r="A18" s="4">
        <v>3</v>
      </c>
      <c r="B18" s="10" t="s">
        <v>13</v>
      </c>
      <c r="C18" s="6" t="s">
        <v>46</v>
      </c>
      <c r="E18" s="12">
        <v>990.6</v>
      </c>
      <c r="F18" s="12">
        <f t="shared" si="0"/>
        <v>2971.8</v>
      </c>
      <c r="H18" s="12">
        <v>588</v>
      </c>
      <c r="I18" s="12">
        <f t="shared" si="1"/>
        <v>1764</v>
      </c>
      <c r="K18" s="12">
        <f>1502/A18</f>
        <v>500.66666666666669</v>
      </c>
      <c r="L18" s="12">
        <f t="shared" si="2"/>
        <v>1502</v>
      </c>
      <c r="N18" s="12">
        <f>2293/A18</f>
        <v>764.33333333333337</v>
      </c>
      <c r="O18" s="12">
        <f t="shared" si="3"/>
        <v>2293</v>
      </c>
      <c r="Q18" s="12">
        <v>595</v>
      </c>
      <c r="R18" s="12">
        <f t="shared" si="4"/>
        <v>1785</v>
      </c>
    </row>
    <row r="19" spans="1:18" ht="27.6" x14ac:dyDescent="0.3">
      <c r="A19" s="4">
        <v>32</v>
      </c>
      <c r="B19" s="10" t="s">
        <v>14</v>
      </c>
      <c r="C19" s="6" t="s">
        <v>47</v>
      </c>
      <c r="E19" s="12">
        <v>135.19999999999999</v>
      </c>
      <c r="F19" s="12">
        <f t="shared" si="0"/>
        <v>4326.3999999999996</v>
      </c>
      <c r="H19" s="12">
        <v>80.25</v>
      </c>
      <c r="I19" s="12">
        <f t="shared" si="1"/>
        <v>2568</v>
      </c>
      <c r="K19" s="12">
        <f>2186/A19</f>
        <v>68.3125</v>
      </c>
      <c r="L19" s="12">
        <f t="shared" si="2"/>
        <v>2186</v>
      </c>
      <c r="N19" s="12">
        <f>3338/A19</f>
        <v>104.3125</v>
      </c>
      <c r="O19" s="12">
        <f t="shared" si="3"/>
        <v>3338</v>
      </c>
      <c r="Q19" s="12">
        <v>81</v>
      </c>
      <c r="R19" s="12">
        <f t="shared" si="4"/>
        <v>2592</v>
      </c>
    </row>
    <row r="20" spans="1:18" ht="27.6" x14ac:dyDescent="0.3">
      <c r="A20" s="4">
        <v>19</v>
      </c>
      <c r="B20" s="10" t="s">
        <v>14</v>
      </c>
      <c r="C20" s="6" t="s">
        <v>48</v>
      </c>
      <c r="E20" s="12">
        <v>109.42</v>
      </c>
      <c r="F20" s="12">
        <f t="shared" si="0"/>
        <v>2078.98</v>
      </c>
      <c r="H20" s="12">
        <v>64.95</v>
      </c>
      <c r="I20" s="12">
        <f t="shared" si="1"/>
        <v>1234.05</v>
      </c>
      <c r="K20" s="12">
        <f>1064/A20</f>
        <v>56</v>
      </c>
      <c r="L20" s="12">
        <f t="shared" si="2"/>
        <v>1064</v>
      </c>
      <c r="N20" s="12">
        <f>1604/A20</f>
        <v>84.421052631578945</v>
      </c>
      <c r="O20" s="12">
        <f t="shared" si="3"/>
        <v>1604</v>
      </c>
      <c r="Q20" s="12">
        <v>66</v>
      </c>
      <c r="R20" s="12">
        <f t="shared" si="4"/>
        <v>1254</v>
      </c>
    </row>
    <row r="21" spans="1:18" x14ac:dyDescent="0.3">
      <c r="A21" s="4">
        <v>9</v>
      </c>
      <c r="B21" s="10" t="s">
        <v>15</v>
      </c>
      <c r="C21" s="6" t="s">
        <v>49</v>
      </c>
      <c r="E21" s="12">
        <v>44.85</v>
      </c>
      <c r="F21" s="12">
        <f t="shared" si="0"/>
        <v>403.65000000000003</v>
      </c>
      <c r="H21" s="12">
        <v>26.63</v>
      </c>
      <c r="I21" s="12">
        <f t="shared" si="1"/>
        <v>239.67</v>
      </c>
      <c r="K21" s="12">
        <f>212/A21</f>
        <v>23.555555555555557</v>
      </c>
      <c r="L21" s="12">
        <f t="shared" si="2"/>
        <v>212</v>
      </c>
      <c r="N21" s="12">
        <f>312/A21</f>
        <v>34.666666666666664</v>
      </c>
      <c r="O21" s="12">
        <f t="shared" si="3"/>
        <v>312</v>
      </c>
      <c r="Q21" s="12">
        <v>27</v>
      </c>
      <c r="R21" s="12">
        <f t="shared" si="4"/>
        <v>243</v>
      </c>
    </row>
    <row r="22" spans="1:18" ht="27.6" x14ac:dyDescent="0.3">
      <c r="A22" s="4">
        <v>1</v>
      </c>
      <c r="B22" s="10" t="s">
        <v>64</v>
      </c>
      <c r="C22" s="6" t="s">
        <v>65</v>
      </c>
      <c r="E22" s="12">
        <v>10788.35</v>
      </c>
      <c r="F22" s="12">
        <f t="shared" si="0"/>
        <v>10788.35</v>
      </c>
      <c r="H22" s="12">
        <v>9552.67</v>
      </c>
      <c r="I22" s="12">
        <f t="shared" si="1"/>
        <v>9552.67</v>
      </c>
      <c r="K22" s="12">
        <v>6720</v>
      </c>
      <c r="L22" s="12">
        <f t="shared" si="2"/>
        <v>6720</v>
      </c>
      <c r="N22" s="12">
        <v>12418</v>
      </c>
      <c r="O22" s="12">
        <f t="shared" si="3"/>
        <v>12418</v>
      </c>
      <c r="Q22" s="12">
        <v>8932</v>
      </c>
      <c r="R22" s="12">
        <f t="shared" si="4"/>
        <v>8932</v>
      </c>
    </row>
    <row r="23" spans="1:18" x14ac:dyDescent="0.3">
      <c r="A23" s="4">
        <v>2</v>
      </c>
      <c r="B23" s="10" t="s">
        <v>16</v>
      </c>
      <c r="C23" s="6" t="s">
        <v>66</v>
      </c>
      <c r="E23" s="12">
        <v>2915.38</v>
      </c>
      <c r="F23" s="12">
        <f t="shared" si="0"/>
        <v>5830.76</v>
      </c>
      <c r="H23" s="12">
        <v>2121.0500000000002</v>
      </c>
      <c r="I23" s="12">
        <f t="shared" si="1"/>
        <v>4242.1000000000004</v>
      </c>
      <c r="K23" s="12">
        <f>4691/A23</f>
        <v>2345.5</v>
      </c>
      <c r="L23" s="12">
        <f t="shared" si="2"/>
        <v>4691</v>
      </c>
      <c r="N23" s="12">
        <f>5443/A23</f>
        <v>2721.5</v>
      </c>
      <c r="O23" s="12">
        <f t="shared" si="3"/>
        <v>5443</v>
      </c>
      <c r="Q23" s="12">
        <v>2217</v>
      </c>
      <c r="R23" s="12">
        <f t="shared" si="4"/>
        <v>4434</v>
      </c>
    </row>
    <row r="24" spans="1:18" ht="27.6" x14ac:dyDescent="0.3">
      <c r="A24" s="4">
        <v>1</v>
      </c>
      <c r="B24" s="10" t="s">
        <v>17</v>
      </c>
      <c r="C24" s="6" t="s">
        <v>50</v>
      </c>
      <c r="E24" s="16" t="s">
        <v>77</v>
      </c>
      <c r="F24" s="16"/>
      <c r="H24" s="12">
        <v>2585.65</v>
      </c>
      <c r="I24" s="12">
        <f t="shared" si="1"/>
        <v>2585.65</v>
      </c>
      <c r="K24" s="12">
        <v>2975</v>
      </c>
      <c r="L24" s="12">
        <f t="shared" si="2"/>
        <v>2975</v>
      </c>
      <c r="N24" s="12">
        <v>4403</v>
      </c>
      <c r="O24" s="12">
        <f t="shared" si="3"/>
        <v>4403</v>
      </c>
      <c r="Q24" s="12">
        <v>2585</v>
      </c>
      <c r="R24" s="12">
        <f t="shared" si="4"/>
        <v>2585</v>
      </c>
    </row>
    <row r="25" spans="1:18" ht="27.6" x14ac:dyDescent="0.3">
      <c r="A25" s="4">
        <v>4</v>
      </c>
      <c r="B25" s="10" t="s">
        <v>18</v>
      </c>
      <c r="C25" s="6" t="s">
        <v>51</v>
      </c>
      <c r="E25" s="16" t="s">
        <v>77</v>
      </c>
      <c r="F25" s="16"/>
      <c r="H25" s="12">
        <v>464.19</v>
      </c>
      <c r="I25" s="12">
        <f t="shared" si="1"/>
        <v>1856.76</v>
      </c>
      <c r="K25" s="12">
        <f>1949/A25</f>
        <v>487.25</v>
      </c>
      <c r="L25" s="12">
        <f t="shared" si="2"/>
        <v>1949</v>
      </c>
      <c r="N25" s="12">
        <f>2706/A25</f>
        <v>676.5</v>
      </c>
      <c r="O25" s="12">
        <f t="shared" si="3"/>
        <v>2706</v>
      </c>
      <c r="Q25" s="12">
        <v>457</v>
      </c>
      <c r="R25" s="12">
        <f t="shared" si="4"/>
        <v>1828</v>
      </c>
    </row>
    <row r="26" spans="1:18" x14ac:dyDescent="0.3">
      <c r="A26" s="4">
        <v>1</v>
      </c>
      <c r="B26" s="10" t="s">
        <v>19</v>
      </c>
      <c r="C26" s="6" t="s">
        <v>26</v>
      </c>
      <c r="E26" s="12">
        <v>74.400000000000006</v>
      </c>
      <c r="F26" s="12">
        <f t="shared" si="0"/>
        <v>74.400000000000006</v>
      </c>
      <c r="H26" s="12">
        <v>65.33</v>
      </c>
      <c r="I26" s="12">
        <f t="shared" si="1"/>
        <v>65.33</v>
      </c>
      <c r="K26" s="12">
        <v>62</v>
      </c>
      <c r="L26" s="12">
        <f t="shared" si="2"/>
        <v>62</v>
      </c>
      <c r="N26" s="12">
        <v>68</v>
      </c>
      <c r="O26" s="12">
        <f t="shared" si="3"/>
        <v>68</v>
      </c>
      <c r="Q26" s="12">
        <v>65</v>
      </c>
      <c r="R26" s="12">
        <f t="shared" si="4"/>
        <v>65</v>
      </c>
    </row>
    <row r="27" spans="1:18" ht="27.6" x14ac:dyDescent="0.3">
      <c r="A27" s="4">
        <v>2</v>
      </c>
      <c r="B27" s="10" t="s">
        <v>20</v>
      </c>
      <c r="C27" s="6" t="s">
        <v>27</v>
      </c>
      <c r="E27" s="12">
        <v>20.149999999999999</v>
      </c>
      <c r="F27" s="12">
        <f t="shared" si="0"/>
        <v>40.299999999999997</v>
      </c>
      <c r="H27" s="12">
        <v>15.78</v>
      </c>
      <c r="I27" s="12">
        <f t="shared" si="1"/>
        <v>31.56</v>
      </c>
      <c r="K27" s="12">
        <f>45/A27</f>
        <v>22.5</v>
      </c>
      <c r="L27" s="12">
        <f t="shared" si="2"/>
        <v>45</v>
      </c>
      <c r="N27" s="12">
        <f>46/A27</f>
        <v>23</v>
      </c>
      <c r="O27" s="12">
        <f t="shared" si="3"/>
        <v>46</v>
      </c>
      <c r="Q27" s="12">
        <v>17</v>
      </c>
      <c r="R27" s="12">
        <f t="shared" si="4"/>
        <v>34</v>
      </c>
    </row>
    <row r="28" spans="1:18" ht="27.6" x14ac:dyDescent="0.3">
      <c r="A28" s="4">
        <v>8</v>
      </c>
      <c r="B28" s="10" t="s">
        <v>21</v>
      </c>
      <c r="C28" s="6" t="s">
        <v>28</v>
      </c>
      <c r="E28" s="12">
        <v>8.92</v>
      </c>
      <c r="F28" s="12">
        <f t="shared" si="0"/>
        <v>71.36</v>
      </c>
      <c r="H28" s="12">
        <v>7.65</v>
      </c>
      <c r="I28" s="12">
        <f t="shared" si="1"/>
        <v>61.2</v>
      </c>
      <c r="K28" s="12">
        <f>90/A28</f>
        <v>11.25</v>
      </c>
      <c r="L28" s="12">
        <f t="shared" si="2"/>
        <v>90</v>
      </c>
      <c r="N28" s="12">
        <f>60/A28</f>
        <v>7.5</v>
      </c>
      <c r="O28" s="12">
        <f t="shared" si="3"/>
        <v>60</v>
      </c>
      <c r="Q28" s="12">
        <v>8</v>
      </c>
      <c r="R28" s="12">
        <f t="shared" si="4"/>
        <v>64</v>
      </c>
    </row>
    <row r="29" spans="1:18" ht="27.6" x14ac:dyDescent="0.3">
      <c r="A29" s="4">
        <v>3</v>
      </c>
      <c r="B29" s="10" t="s">
        <v>62</v>
      </c>
      <c r="C29" s="6" t="s">
        <v>52</v>
      </c>
      <c r="E29" s="12">
        <v>453.6</v>
      </c>
      <c r="F29" s="12">
        <f t="shared" si="0"/>
        <v>1360.8000000000002</v>
      </c>
      <c r="H29" s="12">
        <v>630.58000000000004</v>
      </c>
      <c r="I29" s="12">
        <f t="shared" si="1"/>
        <v>1891.7400000000002</v>
      </c>
      <c r="K29" s="12">
        <f>1596/A29</f>
        <v>532</v>
      </c>
      <c r="L29" s="12">
        <f t="shared" si="2"/>
        <v>1596</v>
      </c>
      <c r="N29" s="12">
        <f>1320/A29</f>
        <v>440</v>
      </c>
      <c r="O29" s="12">
        <f t="shared" si="3"/>
        <v>1320</v>
      </c>
      <c r="Q29" s="12">
        <v>370</v>
      </c>
      <c r="R29" s="12">
        <f t="shared" si="4"/>
        <v>1110</v>
      </c>
    </row>
    <row r="30" spans="1:18" ht="27.6" x14ac:dyDescent="0.3">
      <c r="A30" s="4" t="s">
        <v>61</v>
      </c>
      <c r="B30" s="10" t="s">
        <v>22</v>
      </c>
      <c r="C30" s="6" t="s">
        <v>29</v>
      </c>
      <c r="E30" s="12">
        <v>990</v>
      </c>
      <c r="F30" s="12">
        <f>E30*1</f>
        <v>990</v>
      </c>
      <c r="H30" s="12">
        <f>0.95*1800</f>
        <v>1710</v>
      </c>
      <c r="I30" s="12">
        <f>H30*1</f>
        <v>1710</v>
      </c>
      <c r="K30" s="12">
        <v>4032</v>
      </c>
      <c r="L30" s="12">
        <f>K30*1</f>
        <v>4032</v>
      </c>
      <c r="N30" s="12">
        <v>1170</v>
      </c>
      <c r="O30" s="12">
        <f>N30*1</f>
        <v>1170</v>
      </c>
      <c r="Q30" s="12">
        <v>1148</v>
      </c>
      <c r="R30" s="12">
        <f>Q30*1</f>
        <v>1148</v>
      </c>
    </row>
    <row r="31" spans="1:18" ht="27.6" x14ac:dyDescent="0.3">
      <c r="A31" s="4">
        <v>1</v>
      </c>
      <c r="B31" s="10" t="s">
        <v>53</v>
      </c>
      <c r="C31" s="6" t="s">
        <v>30</v>
      </c>
      <c r="E31" s="12">
        <v>107.1</v>
      </c>
      <c r="F31" s="12">
        <f t="shared" si="0"/>
        <v>107.1</v>
      </c>
      <c r="H31" s="12">
        <v>85.61</v>
      </c>
      <c r="I31" s="12">
        <f t="shared" si="1"/>
        <v>85.61</v>
      </c>
      <c r="K31" s="12">
        <v>112</v>
      </c>
      <c r="L31" s="12">
        <f t="shared" si="2"/>
        <v>112</v>
      </c>
      <c r="N31" s="12">
        <v>121</v>
      </c>
      <c r="O31" s="12">
        <f t="shared" si="3"/>
        <v>121</v>
      </c>
      <c r="Q31" s="12">
        <v>87</v>
      </c>
      <c r="R31" s="12">
        <f t="shared" si="4"/>
        <v>87</v>
      </c>
    </row>
    <row r="32" spans="1:18" ht="27.6" x14ac:dyDescent="0.3">
      <c r="A32" s="4">
        <v>8</v>
      </c>
      <c r="B32" s="10" t="s">
        <v>23</v>
      </c>
      <c r="C32" s="6" t="s">
        <v>31</v>
      </c>
      <c r="E32" s="12">
        <v>17.5</v>
      </c>
      <c r="F32" s="12">
        <f t="shared" si="0"/>
        <v>140</v>
      </c>
      <c r="H32" s="12">
        <v>13.96</v>
      </c>
      <c r="I32" s="12">
        <f t="shared" si="1"/>
        <v>111.68</v>
      </c>
      <c r="K32" s="12">
        <f>134/A32</f>
        <v>16.75</v>
      </c>
      <c r="L32" s="12">
        <f t="shared" si="2"/>
        <v>134</v>
      </c>
      <c r="N32" s="12">
        <f>146/A32</f>
        <v>18.25</v>
      </c>
      <c r="O32" s="12">
        <f t="shared" si="3"/>
        <v>146</v>
      </c>
      <c r="Q32" s="12">
        <v>14</v>
      </c>
      <c r="R32" s="12">
        <f t="shared" si="4"/>
        <v>112</v>
      </c>
    </row>
    <row r="33" spans="1:18" ht="27.6" x14ac:dyDescent="0.3">
      <c r="A33" s="4">
        <v>3</v>
      </c>
      <c r="B33" s="10" t="s">
        <v>24</v>
      </c>
      <c r="C33" s="6" t="s">
        <v>54</v>
      </c>
      <c r="E33" s="12">
        <v>16.45</v>
      </c>
      <c r="F33" s="12">
        <f t="shared" si="0"/>
        <v>49.349999999999994</v>
      </c>
      <c r="H33" s="12">
        <v>21.09</v>
      </c>
      <c r="I33" s="12">
        <f t="shared" si="1"/>
        <v>63.269999999999996</v>
      </c>
      <c r="K33" s="12">
        <f>84/A33</f>
        <v>28</v>
      </c>
      <c r="L33" s="12">
        <f t="shared" si="2"/>
        <v>84</v>
      </c>
      <c r="N33" s="12">
        <f>101/A33</f>
        <v>33.666666666666664</v>
      </c>
      <c r="O33" s="12">
        <f t="shared" si="3"/>
        <v>101</v>
      </c>
      <c r="Q33" s="12">
        <v>18</v>
      </c>
      <c r="R33" s="12">
        <f t="shared" si="4"/>
        <v>54</v>
      </c>
    </row>
    <row r="34" spans="1:18" x14ac:dyDescent="0.3">
      <c r="A34" s="4">
        <v>9</v>
      </c>
      <c r="B34" s="10" t="s">
        <v>25</v>
      </c>
      <c r="C34" s="6" t="s">
        <v>55</v>
      </c>
      <c r="E34" s="12">
        <v>14.7</v>
      </c>
      <c r="F34" s="12">
        <f t="shared" si="0"/>
        <v>132.29999999999998</v>
      </c>
      <c r="H34" s="12">
        <v>18.940000000000001</v>
      </c>
      <c r="I34" s="12">
        <f t="shared" si="1"/>
        <v>170.46</v>
      </c>
      <c r="K34" s="12">
        <f>252/A34</f>
        <v>28</v>
      </c>
      <c r="L34" s="12">
        <f t="shared" si="2"/>
        <v>252</v>
      </c>
      <c r="N34" s="12">
        <f>270/A34</f>
        <v>30</v>
      </c>
      <c r="O34" s="12">
        <f t="shared" si="3"/>
        <v>270</v>
      </c>
      <c r="Q34" s="12">
        <v>12</v>
      </c>
      <c r="R34" s="12">
        <f t="shared" si="4"/>
        <v>108</v>
      </c>
    </row>
    <row r="35" spans="1:18" x14ac:dyDescent="0.3">
      <c r="E35" s="11" t="s">
        <v>74</v>
      </c>
      <c r="F35" s="11">
        <v>759.65</v>
      </c>
      <c r="L35" s="12"/>
      <c r="O35" s="12"/>
      <c r="R35" s="12"/>
    </row>
    <row r="36" spans="1:18" x14ac:dyDescent="0.3">
      <c r="B36" s="7" t="s">
        <v>33</v>
      </c>
      <c r="E36" s="12"/>
      <c r="F36" s="12">
        <f>SUM(F6:F35)</f>
        <v>200241.53999999998</v>
      </c>
      <c r="H36" s="12"/>
      <c r="I36" s="12">
        <f>SUM(I6:I35)</f>
        <v>136199.99999999994</v>
      </c>
      <c r="K36" s="12"/>
      <c r="L36" s="12">
        <f>SUM(L6:L35)</f>
        <v>122130</v>
      </c>
      <c r="N36" s="12"/>
      <c r="O36" s="12">
        <f>SUM(O6:O35)</f>
        <v>176176</v>
      </c>
      <c r="Q36" s="12"/>
      <c r="R36" s="12">
        <f>SUM(R6:R35)</f>
        <v>135653</v>
      </c>
    </row>
    <row r="37" spans="1:18" x14ac:dyDescent="0.3">
      <c r="E37" s="11" t="s">
        <v>76</v>
      </c>
      <c r="F37" s="11" t="s">
        <v>75</v>
      </c>
    </row>
    <row r="40" spans="1:18" x14ac:dyDescent="0.3">
      <c r="B40" s="7" t="s">
        <v>57</v>
      </c>
      <c r="E40" s="12" t="s">
        <v>73</v>
      </c>
      <c r="F40" s="14"/>
      <c r="H40" s="12" t="s">
        <v>73</v>
      </c>
      <c r="I40" s="14"/>
      <c r="K40" s="12" t="s">
        <v>73</v>
      </c>
      <c r="L40" s="14"/>
      <c r="N40" s="12" t="s">
        <v>73</v>
      </c>
      <c r="O40" s="14"/>
      <c r="Q40" s="12" t="s">
        <v>73</v>
      </c>
      <c r="R40" s="14"/>
    </row>
    <row r="41" spans="1:18" x14ac:dyDescent="0.3">
      <c r="B41" s="7" t="s">
        <v>58</v>
      </c>
      <c r="E41" s="12" t="s">
        <v>73</v>
      </c>
      <c r="F41" s="14"/>
      <c r="H41" s="12" t="s">
        <v>73</v>
      </c>
      <c r="I41" s="14"/>
      <c r="K41" s="12" t="s">
        <v>73</v>
      </c>
      <c r="L41" s="14"/>
      <c r="N41" s="12" t="s">
        <v>73</v>
      </c>
      <c r="O41" s="14"/>
      <c r="Q41" s="12" t="s">
        <v>73</v>
      </c>
      <c r="R41" s="14"/>
    </row>
    <row r="42" spans="1:18" x14ac:dyDescent="0.3">
      <c r="B42" s="7" t="s">
        <v>59</v>
      </c>
      <c r="E42" s="12" t="s">
        <v>73</v>
      </c>
      <c r="F42" s="14"/>
      <c r="H42" s="12" t="s">
        <v>73</v>
      </c>
      <c r="I42" s="14"/>
      <c r="K42" s="12" t="s">
        <v>73</v>
      </c>
      <c r="L42" s="14"/>
      <c r="N42" s="12" t="s">
        <v>73</v>
      </c>
      <c r="O42" s="14"/>
      <c r="Q42" s="12" t="s">
        <v>73</v>
      </c>
      <c r="R42" s="14"/>
    </row>
    <row r="43" spans="1:18" x14ac:dyDescent="0.3">
      <c r="B43" s="7" t="s">
        <v>60</v>
      </c>
      <c r="E43" s="12" t="s">
        <v>73</v>
      </c>
      <c r="F43" s="14"/>
      <c r="H43" s="12" t="s">
        <v>73</v>
      </c>
      <c r="I43" s="14"/>
      <c r="K43" s="12" t="s">
        <v>73</v>
      </c>
      <c r="L43" s="14"/>
      <c r="N43" s="12" t="s">
        <v>73</v>
      </c>
      <c r="O43" s="14"/>
      <c r="Q43" s="12" t="s">
        <v>73</v>
      </c>
      <c r="R43" s="14"/>
    </row>
    <row r="44" spans="1:18" x14ac:dyDescent="0.3">
      <c r="B44" s="7" t="s">
        <v>72</v>
      </c>
      <c r="E44" s="12" t="s">
        <v>78</v>
      </c>
      <c r="F44" s="14"/>
      <c r="H44" s="12" t="s">
        <v>73</v>
      </c>
      <c r="I44" s="14"/>
      <c r="K44" s="12" t="s">
        <v>73</v>
      </c>
      <c r="L44" s="14"/>
      <c r="N44" s="12" t="s">
        <v>73</v>
      </c>
      <c r="O44" s="14"/>
      <c r="Q44" s="12" t="s">
        <v>73</v>
      </c>
      <c r="R44" s="14"/>
    </row>
    <row r="45" spans="1:18" x14ac:dyDescent="0.3">
      <c r="F45" s="14"/>
    </row>
    <row r="46" spans="1:18" x14ac:dyDescent="0.3">
      <c r="F46" s="14"/>
    </row>
    <row r="47" spans="1:18" x14ac:dyDescent="0.3">
      <c r="F47" s="14"/>
    </row>
  </sheetData>
  <pageMargins left="0" right="0" top="0.25" bottom="0.25" header="0.3" footer="0.3"/>
  <pageSetup scale="95" orientation="landscape" r:id="rId1"/>
  <colBreaks count="2" manualBreakCount="2">
    <brk id="9" max="1048575" man="1"/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Westfield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2020-09-29T13:32:47Z</cp:lastPrinted>
  <dcterms:created xsi:type="dcterms:W3CDTF">2020-08-06T14:42:36Z</dcterms:created>
  <dcterms:modified xsi:type="dcterms:W3CDTF">2020-09-29T13:43:59Z</dcterms:modified>
</cp:coreProperties>
</file>